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metrodebogotagovco-my.sharepoint.com/personal/yhojan_espinosa_metrodebogota_gov_co/Documents/Documentos/Yhojan Espinosa/EMB/Informe de Austeridad en el Gasto/Informes Movilidad/2° Semestre 2021/"/>
    </mc:Choice>
  </mc:AlternateContent>
  <xr:revisionPtr revIDLastSave="218" documentId="8_{B2F54953-EA80-4802-B434-6B1FA1AE02A8}" xr6:coauthVersionLast="47" xr6:coauthVersionMax="47" xr10:uidLastSave="{0A119FC3-6015-454A-A45F-21B466090CAC}"/>
  <bookViews>
    <workbookView xWindow="-120" yWindow="-120" windowWidth="20730" windowHeight="11160" xr2:uid="{00000000-000D-0000-FFFF-FFFF00000000}"/>
  </bookViews>
  <sheets>
    <sheet name="Gastos Elegibles II Sem" sheetId="5" r:id="rId1"/>
    <sheet name="Gastos Elegibles Anual" sheetId="6" r:id="rId2"/>
    <sheet name="Meta Indicador Auster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6" l="1"/>
  <c r="E9" i="6"/>
  <c r="E10" i="6"/>
  <c r="E11" i="6"/>
  <c r="E12" i="6"/>
  <c r="E13" i="6"/>
  <c r="E14" i="6"/>
  <c r="E15" i="6"/>
  <c r="E17" i="6"/>
  <c r="E18" i="6"/>
  <c r="E20" i="6"/>
  <c r="E24" i="6"/>
  <c r="E26" i="6"/>
  <c r="E27" i="6"/>
  <c r="D22" i="6"/>
  <c r="D22" i="5"/>
  <c r="D21" i="6"/>
  <c r="D28" i="6" l="1"/>
  <c r="D25" i="6"/>
  <c r="E25" i="6" s="1"/>
  <c r="D23" i="6"/>
  <c r="E23" i="6" s="1"/>
  <c r="E19" i="6"/>
  <c r="D16" i="6"/>
  <c r="E16" i="6" s="1"/>
  <c r="D8" i="6"/>
  <c r="D7" i="6"/>
  <c r="D6" i="6"/>
  <c r="C28" i="6"/>
  <c r="C22" i="6"/>
  <c r="E22" i="6" s="1"/>
  <c r="C21" i="6"/>
  <c r="E21" i="6" s="1"/>
  <c r="C16" i="6"/>
  <c r="C8" i="6"/>
  <c r="C7" i="6"/>
  <c r="C6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8" i="6" l="1"/>
  <c r="E6" i="6"/>
  <c r="E7" i="6"/>
  <c r="E8" i="6"/>
  <c r="D29" i="6"/>
  <c r="C29" i="6"/>
  <c r="D29" i="5" l="1"/>
  <c r="C29" i="5" l="1"/>
</calcChain>
</file>

<file path=xl/sharedStrings.xml><?xml version="1.0" encoding="utf-8"?>
<sst xmlns="http://schemas.openxmlformats.org/spreadsheetml/2006/main" count="79" uniqueCount="47">
  <si>
    <t>Art. 4  Horas extras, dominicales y festivos</t>
  </si>
  <si>
    <t>Art. 5  Compensación por vacaciones</t>
  </si>
  <si>
    <t>Art. 6   Bonos navideños</t>
  </si>
  <si>
    <t>Art. 7  Recursos para el fortalecimiento de los servidores públicos</t>
  </si>
  <si>
    <t>Art. 8  Actividades de bienestar</t>
  </si>
  <si>
    <t>Art. 9  Fondos educativos</t>
  </si>
  <si>
    <t>Art. 10  Rediseño institucional/modificación plantas de personal</t>
  </si>
  <si>
    <t>Art. 11  Concursos públicos abiertos y de méritos</t>
  </si>
  <si>
    <t>Art. 12  Viáticos y gastos de viaje</t>
  </si>
  <si>
    <t>Art. 13  Contratación ser. adtvos/equipos de cómputo, impresión y fotocopiado</t>
  </si>
  <si>
    <t>Art. 14  Telefonía celular</t>
  </si>
  <si>
    <t>Art. 15  Telefonía fija</t>
  </si>
  <si>
    <t>Art. 16  Vehículos oficiales</t>
  </si>
  <si>
    <t>Art. 19  Elementos de consumo (papelería, elementos de oficina y almacenaje)</t>
  </si>
  <si>
    <t>Art. 20  Cajas menores</t>
  </si>
  <si>
    <t>Art. 23  Adquisición, mantenimiento o reparación de bienes inmuebles o muebles</t>
  </si>
  <si>
    <t>Art. 24  Edición, impresión, reproducción, publicación de avisos</t>
  </si>
  <si>
    <t>Art. 25  Suscripciones</t>
  </si>
  <si>
    <t>Art. 26  Eventos y conmemoraciones</t>
  </si>
  <si>
    <t>Art. 27  Servicios públicos</t>
  </si>
  <si>
    <t>CONCEPTO</t>
  </si>
  <si>
    <t xml:space="preserve">Art. 3  Contratos de prestación de servicio </t>
  </si>
  <si>
    <t>Art. 17  Adquisición de vehículos y maquinaria</t>
  </si>
  <si>
    <t>Art. 21  Suministro servicio de internet</t>
  </si>
  <si>
    <t>TOTAL</t>
  </si>
  <si>
    <t>II SEMESTRE 2021</t>
  </si>
  <si>
    <t>INDICADOR DE AUSTERIDAD</t>
  </si>
  <si>
    <t>II SEMESTRE 2020</t>
  </si>
  <si>
    <t>2021</t>
  </si>
  <si>
    <t>2020</t>
  </si>
  <si>
    <t>INDICADORES DE AUSTERIDAD 2020-2021</t>
  </si>
  <si>
    <t>METAS INDICADORES DE AUSTERIDAD 2021</t>
  </si>
  <si>
    <t>Que de acuerdo a lo definido en el Plan para la Austeridad en el Gasto bajo código GF-DR-011 V.1, a continuación se establecen las metas puntuales de los indicadores de austeridad para la vigencia fiscal 2021, de acuerdo a lo contemplado en el Decreto 492 de 2019.</t>
  </si>
  <si>
    <t>META</t>
  </si>
  <si>
    <r>
      <t xml:space="preserve">Los bonos navideños para los hijos de los servidores, que, en ejercicio de la autonomía administrativa y presupuestal, se entreguen a final de año no pueden superar el valor de seis (6) salarios mínimos diarios legales vigentes </t>
    </r>
    <r>
      <rPr>
        <b/>
        <sz val="11"/>
        <color theme="1"/>
        <rFont val="Calibri"/>
        <family val="2"/>
        <scheme val="minor"/>
      </rPr>
      <t>($181.705)</t>
    </r>
    <r>
      <rPr>
        <sz val="11"/>
        <color theme="1"/>
        <rFont val="Calibri"/>
        <family val="2"/>
        <scheme val="minor"/>
      </rPr>
      <t>.</t>
    </r>
  </si>
  <si>
    <r>
      <t xml:space="preserve">Cuando las necesidades del servicio lo exijan, pagar y reconocer por los consumos mensuales de telefonía celular (voz y datos), hasta un máximo del diez por ciento (10 %) de un salario mínimo legal mensual vigente SMLMV por un plan de celular </t>
    </r>
    <r>
      <rPr>
        <b/>
        <sz val="11"/>
        <color theme="1"/>
        <rFont val="Calibri"/>
        <family val="2"/>
        <scheme val="minor"/>
      </rPr>
      <t>($90.853)</t>
    </r>
  </si>
  <si>
    <r>
      <t>La meta se establece en mantener un consumo per cápita mensual de hasta un (1) salario mínimo diario legal vigente, para cada servidor público de la Empresa (</t>
    </r>
    <r>
      <rPr>
        <b/>
        <sz val="11"/>
        <color theme="1"/>
        <rFont val="Calibri"/>
        <family val="2"/>
        <scheme val="minor"/>
      </rPr>
      <t>$30.284</t>
    </r>
    <r>
      <rPr>
        <sz val="11"/>
        <color theme="1"/>
        <rFont val="Calibri"/>
        <family val="2"/>
        <scheme val="minor"/>
      </rPr>
      <t>).</t>
    </r>
  </si>
  <si>
    <r>
      <t xml:space="preserve">Limitar el consumo per cápita de gastos de alimentación para reuniones internas o con participación de Entidades u Organismos Externos entre el 0,65 </t>
    </r>
    <r>
      <rPr>
        <b/>
        <sz val="11"/>
        <color theme="1"/>
        <rFont val="Calibri"/>
        <family val="2"/>
        <scheme val="minor"/>
      </rPr>
      <t>($19.685)</t>
    </r>
    <r>
      <rPr>
        <sz val="11"/>
        <color theme="1"/>
        <rFont val="Calibri"/>
        <family val="2"/>
        <scheme val="minor"/>
      </rPr>
      <t xml:space="preserve"> y 0,72 </t>
    </r>
    <r>
      <rPr>
        <b/>
        <sz val="11"/>
        <color theme="1"/>
        <rFont val="Calibri"/>
        <family val="2"/>
        <scheme val="minor"/>
      </rPr>
      <t>($21.805)</t>
    </r>
    <r>
      <rPr>
        <sz val="11"/>
        <color theme="1"/>
        <rFont val="Calibri"/>
        <family val="2"/>
        <scheme val="minor"/>
      </rPr>
      <t xml:space="preserve"> SMDLV</t>
    </r>
  </si>
  <si>
    <r>
      <t>- La meta para el Consumo de agua es de:</t>
    </r>
    <r>
      <rPr>
        <b/>
        <sz val="11"/>
        <color theme="1"/>
        <rFont val="Calibri"/>
        <family val="2"/>
        <scheme val="minor"/>
      </rPr>
      <t xml:space="preserve"> 0,70 m3/per cápita bimestral</t>
    </r>
    <r>
      <rPr>
        <sz val="11"/>
        <color theme="1"/>
        <rFont val="Calibri"/>
        <family val="2"/>
        <scheme val="minor"/>
      </rPr>
      <t xml:space="preserve">.
- La meta para el Consumo de energía es de: </t>
    </r>
    <r>
      <rPr>
        <b/>
        <sz val="11"/>
        <color theme="1"/>
        <rFont val="Calibri"/>
        <family val="2"/>
        <scheme val="minor"/>
      </rPr>
      <t>52 (kW)/per cápita mensua</t>
    </r>
    <r>
      <rPr>
        <sz val="11"/>
        <color theme="1"/>
        <rFont val="Calibri"/>
        <family val="2"/>
        <scheme val="minor"/>
      </rPr>
      <t>l.</t>
    </r>
  </si>
  <si>
    <t>RESULTADO</t>
  </si>
  <si>
    <t>Para la vigencia 2021, no hubo gastos en telefonía celular.</t>
  </si>
  <si>
    <t>Para la vigencia 2021, no hubo gastos en eventos y conmemoraciones.</t>
  </si>
  <si>
    <t>Efectivamente los bonos entregados a los hijos de servidores de la Empresa, no superaron el valor de seis (6) SMDLV correspondientes a $181.705 para la vigencia 2021</t>
  </si>
  <si>
    <r>
      <t>OBSERVACIONES: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Contratos de prestación de servicio:</t>
    </r>
    <r>
      <rPr>
        <sz val="11"/>
        <color theme="1"/>
        <rFont val="Calibri"/>
        <family val="2"/>
        <scheme val="minor"/>
      </rPr>
      <t xml:space="preserve"> Se presentó un incremento entre el segundo semestre de la vigencia 2020 y 2021, debido a las crecientes necesidades para realizar actividades técnicas y profesionales con personas naturales o jurídicas para la Primera Línea del Metro de Bogotá, así como el desarrollo de los estudios y diseños para el proyecto de expansión de la red metro a las localidades de Suba y Engativá.</t>
    </r>
    <r>
      <rPr>
        <b/>
        <sz val="11"/>
        <color theme="1"/>
        <rFont val="Calibri"/>
        <family val="2"/>
        <scheme val="minor"/>
      </rPr>
      <t xml:space="preserve">
2. Compensación por vacaciones: </t>
    </r>
    <r>
      <rPr>
        <sz val="11"/>
        <color theme="1"/>
        <rFont val="Calibri"/>
        <family val="2"/>
        <scheme val="minor"/>
      </rPr>
      <t>Se presentó un incremento entre el segundo semestre de la vigencia 2020 y 2021, debido a la rotación de personal del nivel directivo y profesional con ocasión de la reestructutación de la planta de personal.</t>
    </r>
    <r>
      <rPr>
        <b/>
        <sz val="11"/>
        <color theme="1"/>
        <rFont val="Calibri"/>
        <family val="2"/>
        <scheme val="minor"/>
      </rPr>
      <t xml:space="preserve">
3. Actividades de Bienestar: </t>
    </r>
    <r>
      <rPr>
        <sz val="11"/>
        <color theme="1"/>
        <rFont val="Calibri"/>
        <family val="2"/>
        <scheme val="minor"/>
      </rPr>
      <t>Se presentó un incremento entre el segundo semestre de la vigencia 2020 y 2021, debido a que con la reestructuración de la planta de personal de la Empresa, se incrementó el número de Servidores Públicos que participaron en las actividades.</t>
    </r>
    <r>
      <rPr>
        <b/>
        <sz val="11"/>
        <color theme="1"/>
        <rFont val="Calibri"/>
        <family val="2"/>
        <scheme val="minor"/>
      </rPr>
      <t xml:space="preserve">
4. Cajas menores:</t>
    </r>
    <r>
      <rPr>
        <sz val="11"/>
        <color theme="1"/>
        <rFont val="Calibri"/>
        <family val="2"/>
        <scheme val="minor"/>
      </rPr>
      <t xml:space="preserve"> Se presentó un incremento entre el segundo semestre de la vigencia 2020 y 2021, debido a que la Empresa Metro de Bogotá S.A., tiene dos (2} cajas menores, la primera se creó con el fin de atender los gastos de funcionamiento definidos en el presupuesto de la vigencia 2021 y la segunda, para atender los gastos de Inversión de la Gestión Predial de la EMB, está última ha presentado incremento en sus gastos mensuales, teniendo en cuenta la importancia y priorización de gastos notariales de otorgamiento de escrituras públicas, gastos de registro de escrituras públicas y actos administrativos, compra de certificados de libertad y tradición, fotocopias simples y/o auténticas de escrituras públicas, providencias judiciales, planos urbanísticos, licencias de construcción, entre otros.</t>
    </r>
  </si>
  <si>
    <r>
      <t xml:space="preserve">Se cumplió la meta dado que para el 31/12/2021 se tenía un total de 341 Servidores Públicos en la Empresa, lo que da un valor de consumo per cápita de </t>
    </r>
    <r>
      <rPr>
        <b/>
        <sz val="11"/>
        <color theme="1"/>
        <rFont val="Calibri"/>
        <family val="2"/>
        <scheme val="minor"/>
      </rPr>
      <t>$24.393</t>
    </r>
    <r>
      <rPr>
        <sz val="11"/>
        <color theme="1"/>
        <rFont val="Calibri"/>
        <family val="2"/>
        <scheme val="minor"/>
      </rPr>
      <t>.</t>
    </r>
  </si>
  <si>
    <r>
      <t xml:space="preserve">El consumo promedio de agua es calculado en </t>
    </r>
    <r>
      <rPr>
        <b/>
        <sz val="11"/>
        <color theme="1"/>
        <rFont val="Calibri"/>
        <family val="2"/>
        <scheme val="minor"/>
      </rPr>
      <t>0,23 m3/percápita bimestral</t>
    </r>
    <r>
      <rPr>
        <sz val="11"/>
        <color theme="1"/>
        <rFont val="Calibri"/>
        <family val="2"/>
        <scheme val="minor"/>
      </rPr>
      <t xml:space="preserve">.
El consumo promedio de energía fue de </t>
    </r>
    <r>
      <rPr>
        <b/>
        <sz val="11"/>
        <color theme="1"/>
        <rFont val="Calibri"/>
        <family val="2"/>
        <scheme val="minor"/>
      </rPr>
      <t>19 kWh/percápita mensual</t>
    </r>
    <r>
      <rPr>
        <sz val="11"/>
        <color theme="1"/>
        <rFont val="Calibri"/>
        <family val="2"/>
        <scheme val="minor"/>
      </rPr>
      <t>.</t>
    </r>
  </si>
  <si>
    <t>INDICADORES DE AUSTERIDAD II SEMESTRE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</si>
</sst>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7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7" fontId="0" fillId="0" borderId="6" xfId="0" applyNumberFormat="1" applyFont="1" applyBorder="1" applyAlignment="1">
      <alignment vertical="center"/>
    </xf>
    <xf numFmtId="7" fontId="0" fillId="0" borderId="2" xfId="1" applyNumberFormat="1" applyFont="1" applyFill="1" applyBorder="1" applyAlignment="1">
      <alignment vertical="center"/>
    </xf>
    <xf numFmtId="10" fontId="0" fillId="0" borderId="2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justify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7" fontId="0" fillId="0" borderId="6" xfId="0" applyNumberFormat="1" applyBorder="1" applyAlignment="1">
      <alignment vertical="center"/>
    </xf>
    <xf numFmtId="10" fontId="0" fillId="0" borderId="0" xfId="5" applyNumberFormat="1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quotePrefix="1" applyBorder="1" applyAlignment="1">
      <alignment horizontal="justify" vertical="center" wrapText="1"/>
    </xf>
    <xf numFmtId="0" fontId="0" fillId="0" borderId="2" xfId="0" applyBorder="1" applyAlignment="1">
      <alignment horizontal="justify"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center" wrapText="1"/>
    </xf>
  </cellXfs>
  <cellStyles count="6">
    <cellStyle name="Moneda [0]" xfId="1" builtinId="7"/>
    <cellStyle name="Moneda [0] 2" xfId="4" xr:uid="{0CA7E8F2-8824-4EC7-8A43-5A46ACD16A70}"/>
    <cellStyle name="Normal" xfId="0" builtinId="0"/>
    <cellStyle name="Normal 2" xfId="2" xr:uid="{280386BE-E124-4AC8-A66F-E2DDCEB5513F}"/>
    <cellStyle name="Normal 3" xfId="3" xr:uid="{E2B6B128-CB58-401E-817B-85228DFF30AB}"/>
    <cellStyle name="Porcentaje" xfId="5" builtinId="5"/>
  </cellStyles>
  <dxfs count="28"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1" formatCode="&quot;$&quot;\ #,##0.00;\-&quot;$&quot;\ 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1" formatCode="&quot;$&quot;\ #,##0.00;\-&quot;$&quot;\ 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\ #,##0.00;\-&quot;$&quot;\ 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\ #,##0.00;\-&quot;$&quot;\ 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\ #,##0.00;\-&quot;$&quot;\ 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1" formatCode="&quot;$&quot;\ #,##0.00;\-&quot;$&quot;\ 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numFmt numFmtId="11" formatCode="&quot;$&quot;\ #,##0.00;\-&quot;$&quot;\ 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1" formatCode="&quot;$&quot;\ #,##0.00;\-&quot;$&quot;\ #,##0.0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1</xdr:row>
      <xdr:rowOff>19051</xdr:rowOff>
    </xdr:from>
    <xdr:to>
      <xdr:col>1</xdr:col>
      <xdr:colOff>1638300</xdr:colOff>
      <xdr:row>1</xdr:row>
      <xdr:rowOff>523971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7985C8-E893-47F1-BDD7-4542F92F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2" y="219076"/>
          <a:ext cx="1628773" cy="504920"/>
        </a:xfrm>
        <a:prstGeom prst="rect">
          <a:avLst/>
        </a:prstGeom>
      </xdr:spPr>
    </xdr:pic>
    <xdr:clientData/>
  </xdr:twoCellAnchor>
  <xdr:twoCellAnchor editAs="oneCell">
    <xdr:from>
      <xdr:col>3</xdr:col>
      <xdr:colOff>1038225</xdr:colOff>
      <xdr:row>2</xdr:row>
      <xdr:rowOff>38100</xdr:rowOff>
    </xdr:from>
    <xdr:to>
      <xdr:col>5</xdr:col>
      <xdr:colOff>66675</xdr:colOff>
      <xdr:row>3</xdr:row>
      <xdr:rowOff>129915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554D3D-AC41-45ED-8053-776637FB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781050"/>
          <a:ext cx="1943100" cy="568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</xdr:row>
      <xdr:rowOff>59206</xdr:rowOff>
    </xdr:from>
    <xdr:ext cx="1943100" cy="568065"/>
    <xdr:pic>
      <xdr:nvPicPr>
        <xdr:cNvPr id="2" name="Imagen 1">
          <a:extLst>
            <a:ext uri="{FF2B5EF4-FFF2-40B4-BE49-F238E27FC236}">
              <a16:creationId xmlns:a16="http://schemas.microsoft.com/office/drawing/2014/main" id="{2231C7F7-7290-4B08-934C-F993A83A0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440206"/>
          <a:ext cx="1943100" cy="568065"/>
        </a:xfrm>
        <a:prstGeom prst="rect">
          <a:avLst/>
        </a:prstGeom>
      </xdr:spPr>
    </xdr:pic>
    <xdr:clientData/>
  </xdr:oneCellAnchor>
  <xdr:oneCellAnchor>
    <xdr:from>
      <xdr:col>1</xdr:col>
      <xdr:colOff>9527</xdr:colOff>
      <xdr:row>1</xdr:row>
      <xdr:rowOff>19051</xdr:rowOff>
    </xdr:from>
    <xdr:ext cx="1628773" cy="504920"/>
    <xdr:pic>
      <xdr:nvPicPr>
        <xdr:cNvPr id="3" name="Imagen 2">
          <a:extLst>
            <a:ext uri="{FF2B5EF4-FFF2-40B4-BE49-F238E27FC236}">
              <a16:creationId xmlns:a16="http://schemas.microsoft.com/office/drawing/2014/main" id="{8CBDFBBC-8979-4291-AAEE-51C6ADD91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7" y="209551"/>
          <a:ext cx="1628773" cy="5049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85725</xdr:rowOff>
    </xdr:from>
    <xdr:to>
      <xdr:col>0</xdr:col>
      <xdr:colOff>1390651</xdr:colOff>
      <xdr:row>2</xdr:row>
      <xdr:rowOff>94488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25FBBD-70D9-49AA-B56D-528DF066D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85725"/>
          <a:ext cx="1257300" cy="3897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841AD1-2700-4DB6-9E0A-880984BFA796}" name="Tabla13" displayName="Tabla13" ref="B5:E29" totalsRowCount="1" headerRowDxfId="27" dataDxfId="25" totalsRowDxfId="23" headerRowBorderDxfId="26" tableBorderDxfId="24" totalsRowBorderDxfId="22">
  <tableColumns count="4">
    <tableColumn id="1" xr3:uid="{F43FF429-1354-438B-A633-38E3472A82D4}" name="CONCEPTO" totalsRowLabel="TOTAL" dataDxfId="15" totalsRowDxfId="7"/>
    <tableColumn id="2" xr3:uid="{B0710D94-07C9-494D-BADF-04D9D6E7F940}" name="II SEMESTRE 2020" totalsRowFunction="sum" dataDxfId="14" totalsRowDxfId="6" dataCellStyle="Moneda [0]"/>
    <tableColumn id="3" xr3:uid="{AFEF9301-BEE0-429D-8C01-760B559900C3}" name="II SEMESTRE 2021" totalsRowFunction="sum" dataDxfId="13" totalsRowDxfId="5" dataCellStyle="Moneda [0]"/>
    <tableColumn id="4" xr3:uid="{DEB9E0EB-D3FB-429D-840B-CEA9D5760FD1}" name="INDICADOR DE AUSTERIDAD" dataDxfId="12" totalsRowDxfId="4">
      <calculatedColumnFormula>IFERROR(1-((Tabla13[[#This Row],[II SEMESTRE 2021]]/Tabla13[[#This Row],[II SEMESTRE 2020]])),0%)</calculatedColumnFormula>
    </tableColumn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AC59B-BCE3-4014-B0F2-95D65C959EB5}" name="Tabla132" displayName="Tabla132" ref="B5:E29" totalsRowCount="1" headerRowDxfId="21" dataDxfId="20" totalsRowDxfId="19" headerRowBorderDxfId="17" tableBorderDxfId="18" totalsRowBorderDxfId="16">
  <autoFilter ref="B5:E28" xr:uid="{71E1A15D-26CB-E64C-AF5F-4F5F1068D02F}"/>
  <tableColumns count="4">
    <tableColumn id="1" xr3:uid="{768430BC-7ABC-4CB4-8254-3E63343D9EDB}" name="CONCEPTO" totalsRowLabel="TOTAL" dataDxfId="11" totalsRowDxfId="3"/>
    <tableColumn id="6" xr3:uid="{1E25339C-863D-433A-BCB6-A9C8E306CF79}" name="2020" totalsRowFunction="sum" dataDxfId="10" totalsRowDxfId="2" dataCellStyle="Moneda [0]"/>
    <tableColumn id="2" xr3:uid="{7CC13F9D-6BF7-4D2A-8038-6275F3D5BAC2}" name="2021" totalsRowFunction="sum" dataDxfId="9" totalsRowDxfId="1" dataCellStyle="Moneda [0]"/>
    <tableColumn id="3" xr3:uid="{BC2FF2FF-F991-465D-93E5-301AA6886216}" name="INDICADOR DE AUSTERIDAD" dataDxfId="8" totalsRowDxfId="0">
      <calculatedColumnFormula>IFERROR(1-(Tabla132[[#This Row],[2021]]/Tabla132[[#This Row],[2020]]),0%)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5DE1-02DD-49A1-BC3C-A71F90C49A41}">
  <dimension ref="B1:E47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2.7109375" style="1" customWidth="1"/>
    <col min="2" max="2" width="74.7109375" style="1" bestFit="1" customWidth="1"/>
    <col min="3" max="3" width="21.7109375" style="1" customWidth="1"/>
    <col min="4" max="4" width="17.85546875" style="1" bestFit="1" customWidth="1"/>
    <col min="5" max="5" width="25.85546875" style="1" bestFit="1" customWidth="1"/>
    <col min="6" max="16384" width="11.42578125" style="1"/>
  </cols>
  <sheetData>
    <row r="1" spans="2:5" ht="15.75" thickBot="1" x14ac:dyDescent="0.3"/>
    <row r="2" spans="2:5" ht="42.95" customHeight="1" thickBot="1" x14ac:dyDescent="0.3">
      <c r="B2" s="13" t="s">
        <v>46</v>
      </c>
      <c r="C2" s="14"/>
      <c r="D2" s="14"/>
      <c r="E2" s="15"/>
    </row>
    <row r="3" spans="2:5" ht="38.1" customHeight="1" x14ac:dyDescent="0.25"/>
    <row r="5" spans="2:5" x14ac:dyDescent="0.25">
      <c r="B5" s="3" t="s">
        <v>20</v>
      </c>
      <c r="C5" s="4" t="s">
        <v>27</v>
      </c>
      <c r="D5" s="4" t="s">
        <v>25</v>
      </c>
      <c r="E5" s="4" t="s">
        <v>26</v>
      </c>
    </row>
    <row r="6" spans="2:5" x14ac:dyDescent="0.25">
      <c r="B6" s="5" t="s">
        <v>21</v>
      </c>
      <c r="C6" s="2">
        <v>5555734894</v>
      </c>
      <c r="D6" s="2">
        <v>6359820778</v>
      </c>
      <c r="E6" s="10">
        <f>IFERROR(1-((Tabla13[[#This Row],[II SEMESTRE 2021]]/Tabla13[[#This Row],[II SEMESTRE 2020]])),0%)</f>
        <v>-0.1447307870770409</v>
      </c>
    </row>
    <row r="7" spans="2:5" x14ac:dyDescent="0.25">
      <c r="B7" s="5" t="s">
        <v>0</v>
      </c>
      <c r="C7" s="2">
        <v>668415</v>
      </c>
      <c r="D7" s="9">
        <v>6133348</v>
      </c>
      <c r="E7" s="10">
        <f>IFERROR(1-((Tabla13[[#This Row],[II SEMESTRE 2021]]/Tabla13[[#This Row],[II SEMESTRE 2020]])),0%)</f>
        <v>-8.175958050013838</v>
      </c>
    </row>
    <row r="8" spans="2:5" x14ac:dyDescent="0.25">
      <c r="B8" s="5" t="s">
        <v>1</v>
      </c>
      <c r="C8" s="2">
        <v>11280066</v>
      </c>
      <c r="D8" s="9">
        <v>145395445</v>
      </c>
      <c r="E8" s="10">
        <f>IFERROR(1-((Tabla13[[#This Row],[II SEMESTRE 2021]]/Tabla13[[#This Row],[II SEMESTRE 2020]])),0%)</f>
        <v>-11.889591692105348</v>
      </c>
    </row>
    <row r="9" spans="2:5" x14ac:dyDescent="0.25">
      <c r="B9" s="6" t="s">
        <v>2</v>
      </c>
      <c r="C9" s="2">
        <v>7046880</v>
      </c>
      <c r="D9" s="9">
        <v>9060274</v>
      </c>
      <c r="E9" s="10">
        <f>IFERROR(1-((Tabla13[[#This Row],[II SEMESTRE 2021]]/Tabla13[[#This Row],[II SEMESTRE 2020]])),0%)</f>
        <v>-0.2857142451694934</v>
      </c>
    </row>
    <row r="10" spans="2:5" x14ac:dyDescent="0.25">
      <c r="B10" s="5" t="s">
        <v>3</v>
      </c>
      <c r="C10" s="2">
        <v>0</v>
      </c>
      <c r="D10" s="9">
        <v>28400000</v>
      </c>
      <c r="E10" s="10">
        <f>IFERROR(1-((Tabla13[[#This Row],[II SEMESTRE 2021]]/Tabla13[[#This Row],[II SEMESTRE 2020]])),0%)</f>
        <v>0</v>
      </c>
    </row>
    <row r="11" spans="2:5" x14ac:dyDescent="0.25">
      <c r="B11" s="5" t="s">
        <v>4</v>
      </c>
      <c r="C11" s="2">
        <v>54204024</v>
      </c>
      <c r="D11" s="9">
        <v>62944243</v>
      </c>
      <c r="E11" s="10">
        <f>IFERROR(1-((Tabla13[[#This Row],[II SEMESTRE 2021]]/Tabla13[[#This Row],[II SEMESTRE 2020]])),0%)</f>
        <v>-0.16124668161168265</v>
      </c>
    </row>
    <row r="12" spans="2:5" x14ac:dyDescent="0.25">
      <c r="B12" s="6" t="s">
        <v>5</v>
      </c>
      <c r="C12" s="2">
        <v>0</v>
      </c>
      <c r="D12" s="9">
        <v>0</v>
      </c>
      <c r="E12" s="10">
        <f>IFERROR(1-((Tabla13[[#This Row],[II SEMESTRE 2021]]/Tabla13[[#This Row],[II SEMESTRE 2020]])),0%)</f>
        <v>0</v>
      </c>
    </row>
    <row r="13" spans="2:5" x14ac:dyDescent="0.25">
      <c r="B13" s="5" t="s">
        <v>6</v>
      </c>
      <c r="C13" s="2">
        <v>0</v>
      </c>
      <c r="D13" s="9">
        <v>0</v>
      </c>
      <c r="E13" s="10">
        <f>IFERROR(1-((Tabla13[[#This Row],[II SEMESTRE 2021]]/Tabla13[[#This Row],[II SEMESTRE 2020]])),0%)</f>
        <v>0</v>
      </c>
    </row>
    <row r="14" spans="2:5" x14ac:dyDescent="0.25">
      <c r="B14" s="6" t="s">
        <v>7</v>
      </c>
      <c r="C14" s="2">
        <v>0</v>
      </c>
      <c r="D14" s="9">
        <v>0</v>
      </c>
      <c r="E14" s="10">
        <f>IFERROR(1-((Tabla13[[#This Row],[II SEMESTRE 2021]]/Tabla13[[#This Row],[II SEMESTRE 2020]])),0%)</f>
        <v>0</v>
      </c>
    </row>
    <row r="15" spans="2:5" x14ac:dyDescent="0.25">
      <c r="B15" s="5" t="s">
        <v>8</v>
      </c>
      <c r="C15" s="2">
        <v>0</v>
      </c>
      <c r="D15" s="9">
        <v>0</v>
      </c>
      <c r="E15" s="10">
        <f>IFERROR(1-((Tabla13[[#This Row],[II SEMESTRE 2021]]/Tabla13[[#This Row],[II SEMESTRE 2020]])),0%)</f>
        <v>0</v>
      </c>
    </row>
    <row r="16" spans="2:5" x14ac:dyDescent="0.25">
      <c r="B16" s="5" t="s">
        <v>9</v>
      </c>
      <c r="C16" s="2">
        <v>2183329.2400000002</v>
      </c>
      <c r="D16" s="9">
        <v>382351275</v>
      </c>
      <c r="E16" s="10">
        <f>IFERROR(1-((Tabla13[[#This Row],[II SEMESTRE 2021]]/Tabla13[[#This Row],[II SEMESTRE 2020]])),0%)</f>
        <v>-174.12304969634354</v>
      </c>
    </row>
    <row r="17" spans="2:5" x14ac:dyDescent="0.25">
      <c r="B17" s="5" t="s">
        <v>10</v>
      </c>
      <c r="C17" s="2">
        <v>0</v>
      </c>
      <c r="D17" s="9">
        <v>0</v>
      </c>
      <c r="E17" s="10">
        <f>IFERROR(1-((Tabla13[[#This Row],[II SEMESTRE 2021]]/Tabla13[[#This Row],[II SEMESTRE 2020]])),0%)</f>
        <v>0</v>
      </c>
    </row>
    <row r="18" spans="2:5" x14ac:dyDescent="0.25">
      <c r="B18" s="5" t="s">
        <v>11</v>
      </c>
      <c r="C18" s="2">
        <v>37414442.520000003</v>
      </c>
      <c r="D18" s="9">
        <v>0</v>
      </c>
      <c r="E18" s="10">
        <f>IFERROR(1-((Tabla13[[#This Row],[II SEMESTRE 2021]]/Tabla13[[#This Row],[II SEMESTRE 2020]])),0%)</f>
        <v>1</v>
      </c>
    </row>
    <row r="19" spans="2:5" x14ac:dyDescent="0.25">
      <c r="B19" s="5" t="s">
        <v>12</v>
      </c>
      <c r="C19" s="2">
        <v>1953869.3882800001</v>
      </c>
      <c r="D19" s="9">
        <v>3297312</v>
      </c>
      <c r="E19" s="10">
        <f>IFERROR(1-((Tabla13[[#This Row],[II SEMESTRE 2021]]/Tabla13[[#This Row],[II SEMESTRE 2020]])),0%)</f>
        <v>-0.68758056182181071</v>
      </c>
    </row>
    <row r="20" spans="2:5" x14ac:dyDescent="0.25">
      <c r="B20" s="5" t="s">
        <v>22</v>
      </c>
      <c r="C20" s="2">
        <v>0</v>
      </c>
      <c r="D20" s="9">
        <v>0</v>
      </c>
      <c r="E20" s="10">
        <f>IFERROR(1-((Tabla13[[#This Row],[II SEMESTRE 2021]]/Tabla13[[#This Row],[II SEMESTRE 2020]])),0%)</f>
        <v>0</v>
      </c>
    </row>
    <row r="21" spans="2:5" x14ac:dyDescent="0.25">
      <c r="B21" s="5" t="s">
        <v>13</v>
      </c>
      <c r="C21" s="2">
        <v>6746163.7599999998</v>
      </c>
      <c r="D21" s="9">
        <v>5883913</v>
      </c>
      <c r="E21" s="10">
        <f>IFERROR(1-((Tabla13[[#This Row],[II SEMESTRE 2021]]/Tabla13[[#This Row],[II SEMESTRE 2020]])),0%)</f>
        <v>0.1278134938129637</v>
      </c>
    </row>
    <row r="22" spans="2:5" x14ac:dyDescent="0.25">
      <c r="B22" s="5" t="s">
        <v>14</v>
      </c>
      <c r="C22" s="2">
        <v>543238456.92999995</v>
      </c>
      <c r="D22" s="9">
        <f>6674093.44+1361858135.48</f>
        <v>1368532228.9200001</v>
      </c>
      <c r="E22" s="10">
        <f>IFERROR(1-((Tabla13[[#This Row],[II SEMESTRE 2021]]/Tabla13[[#This Row],[II SEMESTRE 2020]])),0%)</f>
        <v>-1.5192108759272633</v>
      </c>
    </row>
    <row r="23" spans="2:5" x14ac:dyDescent="0.25">
      <c r="B23" s="5" t="s">
        <v>23</v>
      </c>
      <c r="C23" s="2">
        <v>46689902.280000001</v>
      </c>
      <c r="D23" s="9">
        <v>42054600</v>
      </c>
      <c r="E23" s="10">
        <f>IFERROR(1-((Tabla13[[#This Row],[II SEMESTRE 2021]]/Tabla13[[#This Row],[II SEMESTRE 2020]])),0%)</f>
        <v>9.9278474651800064E-2</v>
      </c>
    </row>
    <row r="24" spans="2:5" x14ac:dyDescent="0.25">
      <c r="B24" s="5" t="s">
        <v>15</v>
      </c>
      <c r="C24" s="2">
        <v>0</v>
      </c>
      <c r="D24" s="9">
        <v>0</v>
      </c>
      <c r="E24" s="10">
        <f>IFERROR(1-((Tabla13[[#This Row],[II SEMESTRE 2021]]/Tabla13[[#This Row],[II SEMESTRE 2020]])),0%)</f>
        <v>0</v>
      </c>
    </row>
    <row r="25" spans="2:5" x14ac:dyDescent="0.25">
      <c r="B25" s="5" t="s">
        <v>16</v>
      </c>
      <c r="C25" s="2">
        <v>0</v>
      </c>
      <c r="D25" s="9">
        <v>12082427.310000001</v>
      </c>
      <c r="E25" s="10">
        <f>IFERROR(1-((Tabla13[[#This Row],[II SEMESTRE 2021]]/Tabla13[[#This Row],[II SEMESTRE 2020]])),0%)</f>
        <v>0</v>
      </c>
    </row>
    <row r="26" spans="2:5" x14ac:dyDescent="0.25">
      <c r="B26" s="5" t="s">
        <v>17</v>
      </c>
      <c r="C26" s="2">
        <v>844719</v>
      </c>
      <c r="D26" s="9">
        <v>209900</v>
      </c>
      <c r="E26" s="10">
        <f>IFERROR(1-((Tabla13[[#This Row],[II SEMESTRE 2021]]/Tabla13[[#This Row],[II SEMESTRE 2020]])),0%)</f>
        <v>0.7515150008464353</v>
      </c>
    </row>
    <row r="27" spans="2:5" x14ac:dyDescent="0.25">
      <c r="B27" s="5" t="s">
        <v>18</v>
      </c>
      <c r="C27" s="2">
        <v>0</v>
      </c>
      <c r="D27" s="9">
        <v>0</v>
      </c>
      <c r="E27" s="10">
        <f>IFERROR(1-((Tabla13[[#This Row],[II SEMESTRE 2021]]/Tabla13[[#This Row],[II SEMESTRE 2020]])),0%)</f>
        <v>0</v>
      </c>
    </row>
    <row r="28" spans="2:5" x14ac:dyDescent="0.25">
      <c r="B28" s="5" t="s">
        <v>19</v>
      </c>
      <c r="C28" s="2">
        <v>23839914</v>
      </c>
      <c r="D28" s="9">
        <v>28287150</v>
      </c>
      <c r="E28" s="10">
        <f>IFERROR(1-((Tabla13[[#This Row],[II SEMESTRE 2021]]/Tabla13[[#This Row],[II SEMESTRE 2020]])),0%)</f>
        <v>-0.18654580717027747</v>
      </c>
    </row>
    <row r="29" spans="2:5" x14ac:dyDescent="0.25">
      <c r="B29" s="7" t="s">
        <v>24</v>
      </c>
      <c r="C29" s="8">
        <f>SUBTOTAL(109,Tabla13[II SEMESTRE 2020])</f>
        <v>6291845076.1182804</v>
      </c>
      <c r="D29" s="8">
        <f>SUBTOTAL(109,Tabla13[II SEMESTRE 2021])</f>
        <v>8454452894.2300005</v>
      </c>
      <c r="E29" s="11"/>
    </row>
    <row r="30" spans="2:5" ht="24" customHeight="1" x14ac:dyDescent="0.25">
      <c r="B30" s="30"/>
      <c r="C30" s="30"/>
    </row>
    <row r="31" spans="2:5" ht="24" customHeight="1" x14ac:dyDescent="0.25">
      <c r="B31" s="16" t="s">
        <v>43</v>
      </c>
      <c r="C31" s="12"/>
      <c r="D31" s="12"/>
      <c r="E31" s="12"/>
    </row>
    <row r="32" spans="2:5" x14ac:dyDescent="0.25">
      <c r="B32" s="12"/>
      <c r="C32" s="12"/>
      <c r="D32" s="12"/>
      <c r="E32" s="12"/>
    </row>
    <row r="33" spans="2:5" x14ac:dyDescent="0.25">
      <c r="B33" s="12"/>
      <c r="C33" s="12"/>
      <c r="D33" s="12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  <row r="36" spans="2:5" x14ac:dyDescent="0.25">
      <c r="B36" s="12"/>
      <c r="C36" s="12"/>
      <c r="D36" s="12"/>
      <c r="E36" s="12"/>
    </row>
    <row r="37" spans="2:5" x14ac:dyDescent="0.25">
      <c r="B37" s="12"/>
      <c r="C37" s="12"/>
      <c r="D37" s="12"/>
      <c r="E37" s="12"/>
    </row>
    <row r="38" spans="2:5" x14ac:dyDescent="0.25">
      <c r="B38" s="12"/>
      <c r="C38" s="12"/>
      <c r="D38" s="12"/>
      <c r="E38" s="12"/>
    </row>
    <row r="39" spans="2:5" x14ac:dyDescent="0.25">
      <c r="B39" s="12"/>
      <c r="C39" s="12"/>
      <c r="D39" s="12"/>
      <c r="E39" s="12"/>
    </row>
    <row r="40" spans="2:5" x14ac:dyDescent="0.25">
      <c r="B40" s="12"/>
      <c r="C40" s="12"/>
      <c r="D40" s="12"/>
      <c r="E40" s="12"/>
    </row>
    <row r="41" spans="2:5" x14ac:dyDescent="0.25">
      <c r="B41" s="12"/>
      <c r="C41" s="12"/>
      <c r="D41" s="12"/>
      <c r="E41" s="12"/>
    </row>
    <row r="42" spans="2:5" x14ac:dyDescent="0.25">
      <c r="B42" s="12"/>
      <c r="C42" s="12"/>
      <c r="D42" s="12"/>
      <c r="E42" s="12"/>
    </row>
    <row r="43" spans="2:5" x14ac:dyDescent="0.25">
      <c r="B43" s="12"/>
      <c r="C43" s="12"/>
      <c r="D43" s="12"/>
      <c r="E43" s="12"/>
    </row>
    <row r="44" spans="2:5" x14ac:dyDescent="0.25">
      <c r="B44" s="12"/>
      <c r="C44" s="12"/>
      <c r="D44" s="12"/>
      <c r="E44" s="12"/>
    </row>
    <row r="45" spans="2:5" x14ac:dyDescent="0.25">
      <c r="B45" s="12"/>
      <c r="C45" s="12"/>
      <c r="D45" s="12"/>
      <c r="E45" s="12"/>
    </row>
    <row r="46" spans="2:5" x14ac:dyDescent="0.25">
      <c r="B46" s="12"/>
      <c r="C46" s="12"/>
      <c r="D46" s="12"/>
      <c r="E46" s="12"/>
    </row>
    <row r="47" spans="2:5" ht="36.75" customHeight="1" x14ac:dyDescent="0.25">
      <c r="B47" s="12"/>
      <c r="C47" s="12"/>
      <c r="D47" s="12"/>
      <c r="E47" s="12"/>
    </row>
  </sheetData>
  <mergeCells count="2">
    <mergeCell ref="B2:E2"/>
    <mergeCell ref="B31:E4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347C-EC25-401C-A813-735FA1B85410}">
  <dimension ref="B1:G29"/>
  <sheetViews>
    <sheetView showGridLines="0" zoomScaleNormal="100" workbookViewId="0">
      <selection activeCell="D20" sqref="D20"/>
    </sheetView>
  </sheetViews>
  <sheetFormatPr baseColWidth="10" defaultRowHeight="15" x14ac:dyDescent="0.25"/>
  <cols>
    <col min="1" max="1" width="2.7109375" style="1" customWidth="1"/>
    <col min="2" max="2" width="74.7109375" style="1" bestFit="1" customWidth="1"/>
    <col min="3" max="3" width="20" style="1" bestFit="1" customWidth="1"/>
    <col min="4" max="4" width="21.7109375" style="1" customWidth="1"/>
    <col min="5" max="5" width="30.42578125" style="1" bestFit="1" customWidth="1"/>
    <col min="6" max="16384" width="11.42578125" style="1"/>
  </cols>
  <sheetData>
    <row r="1" spans="2:7" ht="15.75" thickBot="1" x14ac:dyDescent="0.3"/>
    <row r="2" spans="2:7" ht="42.95" customHeight="1" thickBot="1" x14ac:dyDescent="0.3">
      <c r="B2" s="21" t="s">
        <v>30</v>
      </c>
      <c r="C2" s="20"/>
      <c r="D2" s="20"/>
      <c r="E2" s="19"/>
    </row>
    <row r="3" spans="2:7" ht="38.1" customHeight="1" x14ac:dyDescent="0.25"/>
    <row r="5" spans="2:7" x14ac:dyDescent="0.25">
      <c r="B5" s="3" t="s">
        <v>20</v>
      </c>
      <c r="C5" s="4" t="s">
        <v>29</v>
      </c>
      <c r="D5" s="4" t="s">
        <v>28</v>
      </c>
      <c r="E5" s="4" t="s">
        <v>26</v>
      </c>
    </row>
    <row r="6" spans="2:7" x14ac:dyDescent="0.25">
      <c r="B6" s="6" t="s">
        <v>21</v>
      </c>
      <c r="C6" s="2">
        <f>2440271889+5555734894</f>
        <v>7996006783</v>
      </c>
      <c r="D6" s="2">
        <f>14289329356+6359820778</f>
        <v>20649150134</v>
      </c>
      <c r="E6" s="10">
        <f>IFERROR(1-(Tabla132[[#This Row],[2021]]/Tabla132[[#This Row],[2020]]),0%)</f>
        <v>-1.5824327935665785</v>
      </c>
      <c r="G6" s="18"/>
    </row>
    <row r="7" spans="2:7" x14ac:dyDescent="0.25">
      <c r="B7" s="6" t="s">
        <v>0</v>
      </c>
      <c r="C7" s="2">
        <f>668415+5855724</f>
        <v>6524139</v>
      </c>
      <c r="D7" s="9">
        <f>3199753+6133348</f>
        <v>9333101</v>
      </c>
      <c r="E7" s="10">
        <f>IFERROR(1-(Tabla132[[#This Row],[2021]]/Tabla132[[#This Row],[2020]]),0%)</f>
        <v>-0.43054907321870362</v>
      </c>
    </row>
    <row r="8" spans="2:7" x14ac:dyDescent="0.25">
      <c r="B8" s="6" t="s">
        <v>1</v>
      </c>
      <c r="C8" s="2">
        <f>11280066+53895730</f>
        <v>65175796</v>
      </c>
      <c r="D8" s="9">
        <f>253456730+145395445</f>
        <v>398852175</v>
      </c>
      <c r="E8" s="10">
        <f>IFERROR(1-(Tabla132[[#This Row],[2021]]/Tabla132[[#This Row],[2020]]),0%)</f>
        <v>-5.1196364214715535</v>
      </c>
    </row>
    <row r="9" spans="2:7" x14ac:dyDescent="0.25">
      <c r="B9" s="6" t="s">
        <v>2</v>
      </c>
      <c r="C9" s="2">
        <v>7046880</v>
      </c>
      <c r="D9" s="9">
        <v>9060274</v>
      </c>
      <c r="E9" s="10">
        <f>IFERROR(1-(Tabla132[[#This Row],[2021]]/Tabla132[[#This Row],[2020]]),0%)</f>
        <v>-0.2857142451694934</v>
      </c>
    </row>
    <row r="10" spans="2:7" x14ac:dyDescent="0.25">
      <c r="B10" s="6" t="s">
        <v>3</v>
      </c>
      <c r="C10" s="2">
        <v>0</v>
      </c>
      <c r="D10" s="9">
        <v>28400000</v>
      </c>
      <c r="E10" s="10">
        <f>IFERROR(1-(Tabla132[[#This Row],[2021]]/Tabla132[[#This Row],[2020]]),0%)</f>
        <v>0</v>
      </c>
    </row>
    <row r="11" spans="2:7" x14ac:dyDescent="0.25">
      <c r="B11" s="6" t="s">
        <v>4</v>
      </c>
      <c r="C11" s="2">
        <v>54204024</v>
      </c>
      <c r="D11" s="9">
        <v>62944243</v>
      </c>
      <c r="E11" s="10">
        <f>IFERROR(1-(Tabla132[[#This Row],[2021]]/Tabla132[[#This Row],[2020]]),0%)</f>
        <v>-0.16124668161168265</v>
      </c>
    </row>
    <row r="12" spans="2:7" x14ac:dyDescent="0.25">
      <c r="B12" s="6" t="s">
        <v>5</v>
      </c>
      <c r="C12" s="2">
        <v>0</v>
      </c>
      <c r="D12" s="9">
        <v>0</v>
      </c>
      <c r="E12" s="10">
        <f>IFERROR(1-(Tabla132[[#This Row],[2021]]/Tabla132[[#This Row],[2020]]),0%)</f>
        <v>0</v>
      </c>
    </row>
    <row r="13" spans="2:7" x14ac:dyDescent="0.25">
      <c r="B13" s="6" t="s">
        <v>6</v>
      </c>
      <c r="C13" s="2">
        <v>0</v>
      </c>
      <c r="D13" s="9">
        <v>0</v>
      </c>
      <c r="E13" s="10">
        <f>IFERROR(1-(Tabla132[[#This Row],[2021]]/Tabla132[[#This Row],[2020]]),0%)</f>
        <v>0</v>
      </c>
    </row>
    <row r="14" spans="2:7" x14ac:dyDescent="0.25">
      <c r="B14" s="6" t="s">
        <v>7</v>
      </c>
      <c r="C14" s="2">
        <v>0</v>
      </c>
      <c r="D14" s="9">
        <v>0</v>
      </c>
      <c r="E14" s="10">
        <f>IFERROR(1-(Tabla132[[#This Row],[2021]]/Tabla132[[#This Row],[2020]]),0%)</f>
        <v>0</v>
      </c>
    </row>
    <row r="15" spans="2:7" x14ac:dyDescent="0.25">
      <c r="B15" s="6" t="s">
        <v>8</v>
      </c>
      <c r="C15" s="2">
        <v>4209741</v>
      </c>
      <c r="D15" s="9">
        <v>0</v>
      </c>
      <c r="E15" s="10">
        <f>IFERROR(1-(Tabla132[[#This Row],[2021]]/Tabla132[[#This Row],[2020]]),0%)</f>
        <v>1</v>
      </c>
    </row>
    <row r="16" spans="2:7" x14ac:dyDescent="0.25">
      <c r="B16" s="6" t="s">
        <v>9</v>
      </c>
      <c r="C16" s="2">
        <f>357518695+2183329.24</f>
        <v>359702024.24000001</v>
      </c>
      <c r="D16" s="9">
        <f>314102861+382351275</f>
        <v>696454136</v>
      </c>
      <c r="E16" s="10">
        <f>IFERROR(1-(Tabla132[[#This Row],[2021]]/Tabla132[[#This Row],[2020]]),0%)</f>
        <v>-0.93619743306007241</v>
      </c>
    </row>
    <row r="17" spans="2:5" x14ac:dyDescent="0.25">
      <c r="B17" s="6" t="s">
        <v>10</v>
      </c>
      <c r="C17" s="2">
        <v>0</v>
      </c>
      <c r="D17" s="9">
        <v>0</v>
      </c>
      <c r="E17" s="10">
        <f>IFERROR(1-(Tabla132[[#This Row],[2021]]/Tabla132[[#This Row],[2020]]),0%)</f>
        <v>0</v>
      </c>
    </row>
    <row r="18" spans="2:5" x14ac:dyDescent="0.25">
      <c r="B18" s="6" t="s">
        <v>11</v>
      </c>
      <c r="C18" s="2">
        <v>37414442.520000003</v>
      </c>
      <c r="D18" s="9">
        <v>0</v>
      </c>
      <c r="E18" s="10">
        <f>IFERROR(1-(Tabla132[[#This Row],[2021]]/Tabla132[[#This Row],[2020]]),0%)</f>
        <v>1</v>
      </c>
    </row>
    <row r="19" spans="2:5" x14ac:dyDescent="0.25">
      <c r="B19" s="6" t="s">
        <v>12</v>
      </c>
      <c r="C19" s="2">
        <v>1953869.3882800001</v>
      </c>
      <c r="D19" s="9">
        <f>2029581+3297312</f>
        <v>5326893</v>
      </c>
      <c r="E19" s="10">
        <f>IFERROR(1-(Tabla132[[#This Row],[2021]]/Tabla132[[#This Row],[2020]]),0%)</f>
        <v>-1.7263301385203071</v>
      </c>
    </row>
    <row r="20" spans="2:5" x14ac:dyDescent="0.25">
      <c r="B20" s="6" t="s">
        <v>22</v>
      </c>
      <c r="C20" s="2">
        <v>0</v>
      </c>
      <c r="D20" s="9">
        <v>0</v>
      </c>
      <c r="E20" s="10">
        <f>IFERROR(1-(Tabla132[[#This Row],[2021]]/Tabla132[[#This Row],[2020]]),0%)</f>
        <v>0</v>
      </c>
    </row>
    <row r="21" spans="2:5" x14ac:dyDescent="0.25">
      <c r="B21" s="6" t="s">
        <v>13</v>
      </c>
      <c r="C21" s="2">
        <f>6746163.76+733890</f>
        <v>7480053.7599999998</v>
      </c>
      <c r="D21" s="9">
        <f>2434017.01+5883913</f>
        <v>8317930.0099999998</v>
      </c>
      <c r="E21" s="10">
        <f>IFERROR(1-(Tabla132[[#This Row],[2021]]/Tabla132[[#This Row],[2020]]),0%)</f>
        <v>-0.11201473637537074</v>
      </c>
    </row>
    <row r="22" spans="2:5" x14ac:dyDescent="0.25">
      <c r="B22" s="6" t="s">
        <v>14</v>
      </c>
      <c r="C22" s="2">
        <f>122387688.33+543238456.93</f>
        <v>665626145.25999999</v>
      </c>
      <c r="D22" s="9">
        <f>730910310.16+6674093.44+1361858135.48</f>
        <v>2099442539.0799999</v>
      </c>
      <c r="E22" s="10">
        <f>IFERROR(1-(Tabla132[[#This Row],[2021]]/Tabla132[[#This Row],[2020]]),0%)</f>
        <v>-2.154086650637705</v>
      </c>
    </row>
    <row r="23" spans="2:5" x14ac:dyDescent="0.25">
      <c r="B23" s="6" t="s">
        <v>23</v>
      </c>
      <c r="C23" s="2">
        <v>46689902.280000001</v>
      </c>
      <c r="D23" s="9">
        <f>42054600+42054600</f>
        <v>84109200</v>
      </c>
      <c r="E23" s="10">
        <f>IFERROR(1-(Tabla132[[#This Row],[2021]]/Tabla132[[#This Row],[2020]]),0%)</f>
        <v>-0.80144305069639987</v>
      </c>
    </row>
    <row r="24" spans="2:5" x14ac:dyDescent="0.25">
      <c r="B24" s="6" t="s">
        <v>15</v>
      </c>
      <c r="C24" s="2">
        <v>0</v>
      </c>
      <c r="D24" s="9">
        <v>0</v>
      </c>
      <c r="E24" s="10">
        <f>IFERROR(1-(Tabla132[[#This Row],[2021]]/Tabla132[[#This Row],[2020]]),0%)</f>
        <v>0</v>
      </c>
    </row>
    <row r="25" spans="2:5" x14ac:dyDescent="0.25">
      <c r="B25" s="6" t="s">
        <v>16</v>
      </c>
      <c r="C25" s="2">
        <v>0</v>
      </c>
      <c r="D25" s="9">
        <f>877108+12082427.31</f>
        <v>12959535.310000001</v>
      </c>
      <c r="E25" s="10">
        <f>IFERROR(1-(Tabla132[[#This Row],[2021]]/Tabla132[[#This Row],[2020]]),0%)</f>
        <v>0</v>
      </c>
    </row>
    <row r="26" spans="2:5" x14ac:dyDescent="0.25">
      <c r="B26" s="6" t="s">
        <v>17</v>
      </c>
      <c r="C26" s="2">
        <v>844719</v>
      </c>
      <c r="D26" s="9">
        <v>209900</v>
      </c>
      <c r="E26" s="10">
        <f>IFERROR(1-(Tabla132[[#This Row],[2021]]/Tabla132[[#This Row],[2020]]),0%)</f>
        <v>0.7515150008464353</v>
      </c>
    </row>
    <row r="27" spans="2:5" x14ac:dyDescent="0.25">
      <c r="B27" s="6" t="s">
        <v>18</v>
      </c>
      <c r="C27" s="2">
        <v>0</v>
      </c>
      <c r="D27" s="9">
        <v>0</v>
      </c>
      <c r="E27" s="10">
        <f>IFERROR(1-(Tabla132[[#This Row],[2021]]/Tabla132[[#This Row],[2020]]),0%)</f>
        <v>0</v>
      </c>
    </row>
    <row r="28" spans="2:5" x14ac:dyDescent="0.25">
      <c r="B28" s="6" t="s">
        <v>19</v>
      </c>
      <c r="C28" s="2">
        <f>29875230+23839914</f>
        <v>53715144</v>
      </c>
      <c r="D28" s="9">
        <f>22264940+28287150</f>
        <v>50552090</v>
      </c>
      <c r="E28" s="10">
        <f>IFERROR(1-(Tabla132[[#This Row],[2021]]/Tabla132[[#This Row],[2020]]),0%)</f>
        <v>5.8885702698665443E-2</v>
      </c>
    </row>
    <row r="29" spans="2:5" x14ac:dyDescent="0.25">
      <c r="B29" s="7" t="s">
        <v>24</v>
      </c>
      <c r="C29" s="17">
        <f>SUBTOTAL(109,Tabla132[2020])</f>
        <v>9306593663.4482803</v>
      </c>
      <c r="D29" s="17">
        <f>SUBTOTAL(109,Tabla132[2021])</f>
        <v>24115112150.399998</v>
      </c>
      <c r="E29" s="11"/>
    </row>
  </sheetData>
  <mergeCells count="1">
    <mergeCell ref="B2:E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2058-0573-47A4-BDD1-69E3388257F3}">
  <dimension ref="A1:K11"/>
  <sheetViews>
    <sheetView workbookViewId="0">
      <selection activeCell="B7" sqref="B7"/>
    </sheetView>
  </sheetViews>
  <sheetFormatPr baseColWidth="10" defaultRowHeight="15" x14ac:dyDescent="0.25"/>
  <cols>
    <col min="1" max="1" width="74.7109375" bestFit="1" customWidth="1"/>
    <col min="2" max="2" width="37.85546875" customWidth="1"/>
    <col min="3" max="3" width="34.7109375" customWidth="1"/>
  </cols>
  <sheetData>
    <row r="1" spans="1:11" ht="15" customHeight="1" x14ac:dyDescent="0.25">
      <c r="A1" s="22" t="s">
        <v>31</v>
      </c>
      <c r="B1" s="22"/>
      <c r="C1" s="22"/>
    </row>
    <row r="2" spans="1:11" ht="15" customHeight="1" x14ac:dyDescent="0.25">
      <c r="A2" s="22"/>
      <c r="B2" s="22"/>
      <c r="C2" s="22"/>
    </row>
    <row r="3" spans="1:11" ht="15" customHeight="1" x14ac:dyDescent="0.25">
      <c r="A3" s="22"/>
      <c r="B3" s="22"/>
      <c r="C3" s="22"/>
    </row>
    <row r="4" spans="1:11" ht="45" customHeight="1" x14ac:dyDescent="0.25">
      <c r="A4" s="31" t="s">
        <v>32</v>
      </c>
      <c r="B4" s="31"/>
      <c r="C4" s="31"/>
      <c r="D4" s="23"/>
      <c r="E4" s="23"/>
      <c r="F4" s="23"/>
      <c r="G4" s="23"/>
      <c r="H4" s="23"/>
      <c r="I4" s="23"/>
      <c r="J4" s="23"/>
      <c r="K4" s="23"/>
    </row>
    <row r="6" spans="1:11" x14ac:dyDescent="0.25">
      <c r="A6" s="24" t="s">
        <v>20</v>
      </c>
      <c r="B6" s="25" t="s">
        <v>33</v>
      </c>
      <c r="C6" s="25" t="s">
        <v>39</v>
      </c>
    </row>
    <row r="7" spans="1:11" ht="113.25" customHeight="1" x14ac:dyDescent="0.25">
      <c r="A7" s="26" t="s">
        <v>2</v>
      </c>
      <c r="B7" s="27" t="s">
        <v>34</v>
      </c>
      <c r="C7" s="27" t="s">
        <v>42</v>
      </c>
    </row>
    <row r="8" spans="1:11" ht="105" x14ac:dyDescent="0.25">
      <c r="A8" s="26" t="s">
        <v>10</v>
      </c>
      <c r="B8" s="29" t="s">
        <v>35</v>
      </c>
      <c r="C8" s="29" t="s">
        <v>40</v>
      </c>
    </row>
    <row r="9" spans="1:11" ht="75" x14ac:dyDescent="0.25">
      <c r="A9" s="26" t="s">
        <v>13</v>
      </c>
      <c r="B9" s="29" t="s">
        <v>36</v>
      </c>
      <c r="C9" s="29" t="s">
        <v>44</v>
      </c>
    </row>
    <row r="10" spans="1:11" ht="75" x14ac:dyDescent="0.25">
      <c r="A10" s="26" t="s">
        <v>18</v>
      </c>
      <c r="B10" s="29" t="s">
        <v>37</v>
      </c>
      <c r="C10" s="29" t="s">
        <v>41</v>
      </c>
    </row>
    <row r="11" spans="1:11" ht="75" x14ac:dyDescent="0.25">
      <c r="A11" s="26" t="s">
        <v>19</v>
      </c>
      <c r="B11" s="28" t="s">
        <v>38</v>
      </c>
      <c r="C11" s="28" t="s">
        <v>45</v>
      </c>
    </row>
  </sheetData>
  <mergeCells count="2">
    <mergeCell ref="A4:C4"/>
    <mergeCell ref="A1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Gastos Elegibles II Sem</vt:lpstr>
      <vt:lpstr>Gastos Elegibles Anual</vt:lpstr>
      <vt:lpstr>Meta Indicador Austeridad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Andrea Beltran Muñoz</dc:creator>
  <cp:lastModifiedBy>YHOJAN EDGARDO ESPINOSA LOPEZ</cp:lastModifiedBy>
  <dcterms:created xsi:type="dcterms:W3CDTF">2019-10-08T13:33:13Z</dcterms:created>
  <dcterms:modified xsi:type="dcterms:W3CDTF">2022-01-24T15:49:57Z</dcterms:modified>
</cp:coreProperties>
</file>